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ND Office Echo\VAULT-W4PEUY2Z\"/>
    </mc:Choice>
  </mc:AlternateContent>
  <xr:revisionPtr revIDLastSave="0" documentId="8_{5A4E1B19-FEB8-4B73-81FA-8940577E5FC3}" xr6:coauthVersionLast="45" xr6:coauthVersionMax="45" xr10:uidLastSave="{00000000-0000-0000-0000-000000000000}"/>
  <bookViews>
    <workbookView xWindow="-28920" yWindow="-120" windowWidth="29040" windowHeight="16440" xr2:uid="{AA2D2F4F-3FAF-40E6-B04D-9505A40225AD}"/>
  </bookViews>
  <sheets>
    <sheet name="Detail Cap Table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G19" i="1" l="1"/>
  <c r="J37" i="1"/>
  <c r="I37" i="1"/>
  <c r="L28" i="1"/>
  <c r="K28" i="1"/>
  <c r="J28" i="1"/>
  <c r="I28" i="1"/>
  <c r="G28" i="1"/>
  <c r="F28" i="1"/>
  <c r="D28" i="1"/>
  <c r="C28" i="1"/>
  <c r="B28" i="1"/>
  <c r="L31" i="1"/>
  <c r="G21" i="1"/>
  <c r="J31" i="1"/>
  <c r="I31" i="1"/>
  <c r="L30" i="1"/>
  <c r="K30" i="1"/>
  <c r="J30" i="1"/>
  <c r="I30" i="1"/>
  <c r="L29" i="1"/>
  <c r="E22" i="1"/>
  <c r="J29" i="1"/>
  <c r="I29" i="1"/>
  <c r="E14" i="1"/>
  <c r="E13" i="1"/>
  <c r="B31" i="1"/>
  <c r="C30" i="1"/>
  <c r="B30" i="1"/>
  <c r="E11" i="1"/>
  <c r="B29" i="1"/>
  <c r="M30" i="1" l="1"/>
  <c r="N30" i="1" s="1"/>
  <c r="F30" i="1"/>
  <c r="H21" i="1"/>
  <c r="K29" i="1"/>
  <c r="K31" i="1"/>
  <c r="M31" i="1" s="1"/>
  <c r="N31" i="1" s="1"/>
  <c r="C29" i="1"/>
  <c r="C31" i="1"/>
  <c r="F31" i="1" s="1"/>
  <c r="H19" i="1"/>
  <c r="E12" i="1"/>
  <c r="G20" i="1"/>
  <c r="H20" i="1" s="1"/>
  <c r="H22" i="1" l="1"/>
  <c r="C37" i="1"/>
  <c r="F29" i="1"/>
  <c r="G22" i="1"/>
  <c r="K32" i="1"/>
  <c r="M29" i="1"/>
  <c r="E15" i="1"/>
  <c r="N29" i="1" l="1"/>
  <c r="M32" i="1"/>
  <c r="F14" i="1"/>
  <c r="F11" i="1"/>
  <c r="F13" i="1"/>
  <c r="F12" i="1"/>
  <c r="F15" i="1" l="1"/>
  <c r="N32" i="1"/>
  <c r="K27" i="1"/>
  <c r="G29" i="1"/>
  <c r="O29" i="1"/>
  <c r="P29" i="1"/>
  <c r="G30" i="1"/>
  <c r="O30" i="1"/>
  <c r="P30" i="1"/>
  <c r="G31" i="1"/>
  <c r="O31" i="1"/>
  <c r="P31" i="1"/>
  <c r="D32" i="1"/>
  <c r="F32" i="1"/>
  <c r="G32" i="1"/>
  <c r="P32" i="1"/>
  <c r="E33" i="1"/>
  <c r="F33" i="1"/>
  <c r="G33" i="1"/>
  <c r="F34" i="1"/>
  <c r="G34" i="1"/>
  <c r="E36" i="1"/>
  <c r="F36" i="1"/>
  <c r="G36" i="1"/>
  <c r="D37" i="1"/>
  <c r="E37" i="1"/>
  <c r="F37" i="1"/>
  <c r="G37" i="1"/>
  <c r="K37" i="1"/>
  <c r="L37" i="1"/>
</calcChain>
</file>

<file path=xl/sharedStrings.xml><?xml version="1.0" encoding="utf-8"?>
<sst xmlns="http://schemas.openxmlformats.org/spreadsheetml/2006/main" count="55" uniqueCount="51">
  <si>
    <t>Name</t>
  </si>
  <si>
    <t>Common &amp; Restricted</t>
  </si>
  <si>
    <t>Common Options &amp; Warrants</t>
  </si>
  <si>
    <t>Fully-Diluted Shares</t>
  </si>
  <si>
    <t>Fully-Diluted Ownership</t>
  </si>
  <si>
    <t>Totals:</t>
  </si>
  <si>
    <t>Outstanding Convertible Notes</t>
  </si>
  <si>
    <t>Investor</t>
  </si>
  <si>
    <t>Note Date</t>
  </si>
  <si>
    <t>Maturity Date</t>
  </si>
  <si>
    <t>Principal Balance</t>
  </si>
  <si>
    <t>Interest Rate</t>
  </si>
  <si>
    <t>Accrued Interest</t>
  </si>
  <si>
    <t>P + I</t>
  </si>
  <si>
    <t>Conversion Cap</t>
  </si>
  <si>
    <t>Discount</t>
  </si>
  <si>
    <t>Next Round Hypotheticals</t>
  </si>
  <si>
    <t>Next Round Raise:</t>
  </si>
  <si>
    <t>Pre-Money Valuation:</t>
  </si>
  <si>
    <t>Convertibles Calculation</t>
  </si>
  <si>
    <t>Post-Money Avail Option %:</t>
  </si>
  <si>
    <t xml:space="preserve">Assumed Conversion Date: </t>
  </si>
  <si>
    <t>Shares Prior to Conversion:</t>
  </si>
  <si>
    <t xml:space="preserve">Series Seed Preferred Stock </t>
  </si>
  <si>
    <t>Total P + I</t>
  </si>
  <si>
    <t>$/Conversion Share</t>
  </si>
  <si>
    <t>Conversion Shares</t>
  </si>
  <si>
    <t>Convertibles</t>
  </si>
  <si>
    <t>Subtotals:</t>
  </si>
  <si>
    <t>Next Round Calculation</t>
  </si>
  <si>
    <t>Investment</t>
  </si>
  <si>
    <t>Pre-Money</t>
  </si>
  <si>
    <t>Price/Share</t>
  </si>
  <si>
    <t>Next Round Shares</t>
  </si>
  <si>
    <t xml:space="preserve">Totals: </t>
  </si>
  <si>
    <t>Founder A</t>
  </si>
  <si>
    <t>Founder B</t>
  </si>
  <si>
    <t>Founder C</t>
  </si>
  <si>
    <t>Noteholder 1</t>
  </si>
  <si>
    <t>Noteholder 2</t>
  </si>
  <si>
    <t>Noteholder 3</t>
  </si>
  <si>
    <t>ACME INC. CAP TABLE</t>
  </si>
  <si>
    <t>Employee Pool</t>
  </si>
  <si>
    <t>Model Notes</t>
  </si>
  <si>
    <t>(2) If you need to add rows, then insert and copy down from the row above to keep the formulas the same.</t>
  </si>
  <si>
    <t>(3) The model uses iterative calculations (circular references) to calculate the employee pool and conversion share price.</t>
  </si>
  <si>
    <t>To turn on iterative calculations in Excel for Windows go to File &gt;&gt; Options &gt;&gt; Formulas and check "Enable Iterative Calculation."</t>
  </si>
  <si>
    <t>To turn on iterative calculations in Excel for Mac click on Excel &gt;&gt; Preferences &gt;&gt; Calculation. Leave the default values.</t>
  </si>
  <si>
    <r>
      <t xml:space="preserve">(4) There are some error catching mechanisms build into the model. Errors should show up in </t>
    </r>
    <r>
      <rPr>
        <i/>
        <sz val="12"/>
        <color rgb="FFFF0000"/>
        <rFont val="Calibri"/>
        <family val="2"/>
        <scheme val="minor"/>
      </rPr>
      <t>red</t>
    </r>
    <r>
      <rPr>
        <i/>
        <sz val="12"/>
        <rFont val="Calibri"/>
        <family val="2"/>
        <scheme val="minor"/>
      </rPr>
      <t>.</t>
    </r>
  </si>
  <si>
    <r>
      <t xml:space="preserve">(1) Scenario Cells are in </t>
    </r>
    <r>
      <rPr>
        <i/>
        <sz val="12"/>
        <color rgb="FF0070C0"/>
        <rFont val="Calibri (Body)_x0000_"/>
      </rPr>
      <t>blue</t>
    </r>
    <r>
      <rPr>
        <i/>
        <sz val="12"/>
        <color theme="1"/>
        <rFont val="Calibri"/>
        <family val="2"/>
        <scheme val="minor"/>
      </rPr>
      <t>.</t>
    </r>
  </si>
  <si>
    <t>© Vela Wood P.C.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</si>
</sst>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[$-409]mmm\-yy;@"/>
    <numFmt numFmtId="168" formatCode="&quot;$&quot;#,##0"/>
    <numFmt numFmtId="169" formatCode="&quot;$&quot;#,##0.00"/>
    <numFmt numFmtId="170" formatCode="&quot;$&quot;#,##0.0000"/>
    <numFmt numFmtId="171" formatCode="_(* #,##0_);_(* \(#,##0\);_(* &quot;-&quot;??_);_(@_)"/>
    <numFmt numFmtId="172" formatCode="_(&quot;$&quot;* #,##0.0000_);_(&quot;$&quot;* \(#,##0.0000\);_(&quot;$&quot;* &quot;-&quot;??_);_(@_)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3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1" fillId="2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2" borderId="0" xfId="0" applyFont="1" applyFill="1"/>
    <xf numFmtId="0" fontId="5" fillId="2" borderId="0" xfId="0" quotePrefix="1" applyFont="1" applyFill="1"/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4" fontId="8" fillId="0" borderId="0" xfId="0" applyNumberFormat="1" applyFont="1"/>
    <xf numFmtId="164" fontId="8" fillId="0" borderId="0" xfId="3" applyNumberFormat="1" applyFont="1"/>
    <xf numFmtId="165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1" fillId="0" borderId="0" xfId="0" applyFont="1"/>
    <xf numFmtId="164" fontId="1" fillId="0" borderId="0" xfId="3" applyNumberFormat="1" applyFont="1"/>
    <xf numFmtId="165" fontId="1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 wrapText="1"/>
    </xf>
    <xf numFmtId="10" fontId="3" fillId="2" borderId="0" xfId="0" applyNumberFormat="1" applyFont="1" applyFill="1" applyAlignment="1">
      <alignment horizontal="center" wrapText="1"/>
    </xf>
    <xf numFmtId="7" fontId="1" fillId="2" borderId="0" xfId="0" applyNumberFormat="1" applyFont="1" applyFill="1"/>
    <xf numFmtId="0" fontId="3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wrapText="1"/>
    </xf>
    <xf numFmtId="14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169" fontId="9" fillId="0" borderId="0" xfId="2" applyNumberFormat="1" applyFont="1" applyAlignment="1">
      <alignment horizontal="center"/>
    </xf>
    <xf numFmtId="9" fontId="9" fillId="2" borderId="0" xfId="3" applyFont="1" applyFill="1" applyAlignment="1">
      <alignment horizontal="center"/>
    </xf>
    <xf numFmtId="169" fontId="1" fillId="2" borderId="0" xfId="0" applyNumberFormat="1" applyFont="1" applyFill="1"/>
    <xf numFmtId="0" fontId="3" fillId="0" borderId="2" xfId="0" applyFont="1" applyBorder="1" applyAlignment="1">
      <alignment horizontal="right"/>
    </xf>
    <xf numFmtId="167" fontId="3" fillId="0" borderId="2" xfId="0" applyNumberFormat="1" applyFont="1" applyBorder="1" applyAlignment="1">
      <alignment horizontal="center"/>
    </xf>
    <xf numFmtId="168" fontId="3" fillId="0" borderId="2" xfId="2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9" fontId="3" fillId="0" borderId="2" xfId="2" applyNumberFormat="1" applyFont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168" fontId="3" fillId="0" borderId="0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9" fontId="3" fillId="0" borderId="0" xfId="2" applyNumberFormat="1" applyFont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9" fontId="1" fillId="2" borderId="0" xfId="0" applyNumberFormat="1" applyFont="1" applyFill="1" applyBorder="1"/>
    <xf numFmtId="0" fontId="10" fillId="4" borderId="4" xfId="0" applyFont="1" applyFill="1" applyBorder="1" applyAlignment="1">
      <alignment horizontal="centerContinuous"/>
    </xf>
    <xf numFmtId="7" fontId="11" fillId="4" borderId="4" xfId="0" applyNumberFormat="1" applyFont="1" applyFill="1" applyBorder="1" applyAlignment="1">
      <alignment horizontal="centerContinuous"/>
    </xf>
    <xf numFmtId="7" fontId="1" fillId="4" borderId="4" xfId="0" applyNumberFormat="1" applyFont="1" applyFill="1" applyBorder="1" applyAlignment="1">
      <alignment horizontal="centerContinuous"/>
    </xf>
    <xf numFmtId="10" fontId="11" fillId="4" borderId="4" xfId="0" quotePrefix="1" applyNumberFormat="1" applyFont="1" applyFill="1" applyBorder="1" applyAlignment="1">
      <alignment horizontal="centerContinuous"/>
    </xf>
    <xf numFmtId="10" fontId="11" fillId="4" borderId="4" xfId="0" applyNumberFormat="1" applyFont="1" applyFill="1" applyBorder="1" applyAlignment="1">
      <alignment horizontal="centerContinuous"/>
    </xf>
    <xf numFmtId="0" fontId="1" fillId="4" borderId="4" xfId="0" applyFont="1" applyFill="1" applyBorder="1" applyAlignment="1">
      <alignment horizontal="centerContinuous"/>
    </xf>
    <xf numFmtId="0" fontId="1" fillId="0" borderId="0" xfId="0" applyFont="1" applyBorder="1" applyAlignment="1">
      <alignment horizontal="right" wrapText="1"/>
    </xf>
    <xf numFmtId="168" fontId="12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/>
    <xf numFmtId="0" fontId="3" fillId="0" borderId="0" xfId="0" applyFont="1" applyAlignment="1">
      <alignment horizontal="right" wrapText="1"/>
    </xf>
    <xf numFmtId="1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right" wrapText="1"/>
    </xf>
    <xf numFmtId="9" fontId="12" fillId="0" borderId="3" xfId="3" applyFont="1" applyFill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4" fontId="12" fillId="0" borderId="3" xfId="0" applyNumberFormat="1" applyFont="1" applyBorder="1" applyAlignment="1">
      <alignment horizontal="center"/>
    </xf>
    <xf numFmtId="10" fontId="1" fillId="0" borderId="0" xfId="0" applyNumberFormat="1" applyFont="1"/>
    <xf numFmtId="165" fontId="11" fillId="0" borderId="0" xfId="2" applyNumberFormat="1" applyFont="1" applyFill="1"/>
    <xf numFmtId="165" fontId="11" fillId="0" borderId="0" xfId="0" applyNumberFormat="1" applyFont="1"/>
    <xf numFmtId="165" fontId="9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quotePrefix="1" applyFont="1"/>
    <xf numFmtId="168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3" fontId="1" fillId="0" borderId="0" xfId="1" applyNumberFormat="1" applyFont="1" applyFill="1" applyAlignment="1">
      <alignment horizontal="center" vertical="center"/>
    </xf>
    <xf numFmtId="0" fontId="3" fillId="0" borderId="2" xfId="0" applyFont="1" applyBorder="1"/>
    <xf numFmtId="168" fontId="3" fillId="0" borderId="2" xfId="2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9" fontId="3" fillId="0" borderId="2" xfId="2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0" xfId="0" applyFont="1"/>
    <xf numFmtId="168" fontId="3" fillId="0" borderId="0" xfId="2" applyNumberFormat="1" applyFont="1" applyFill="1"/>
    <xf numFmtId="44" fontId="3" fillId="0" borderId="0" xfId="2" applyFont="1" applyFill="1"/>
    <xf numFmtId="3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1" fillId="0" borderId="0" xfId="2" applyNumberFormat="1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171" fontId="1" fillId="0" borderId="0" xfId="1" applyNumberFormat="1" applyFont="1" applyFill="1"/>
    <xf numFmtId="166" fontId="3" fillId="0" borderId="2" xfId="0" applyNumberFormat="1" applyFont="1" applyBorder="1" applyAlignment="1">
      <alignment horizontal="center"/>
    </xf>
    <xf numFmtId="170" fontId="1" fillId="0" borderId="0" xfId="2" applyNumberFormat="1" applyFont="1" applyFill="1" applyAlignment="1">
      <alignment horizontal="center"/>
    </xf>
    <xf numFmtId="172" fontId="1" fillId="0" borderId="0" xfId="2" applyNumberFormat="1" applyFont="1" applyFill="1"/>
    <xf numFmtId="0" fontId="1" fillId="2" borderId="0" xfId="0" quotePrefix="1" applyFont="1" applyFill="1"/>
    <xf numFmtId="3" fontId="1" fillId="2" borderId="0" xfId="0" applyNumberFormat="1" applyFont="1" applyFill="1" applyBorder="1" applyAlignment="1">
      <alignment horizontal="right"/>
    </xf>
    <xf numFmtId="168" fontId="1" fillId="2" borderId="0" xfId="0" applyNumberFormat="1" applyFont="1" applyFill="1" applyBorder="1"/>
    <xf numFmtId="168" fontId="1" fillId="2" borderId="0" xfId="0" applyNumberFormat="1" applyFont="1" applyFill="1" applyAlignment="1">
      <alignment horizontal="center"/>
    </xf>
    <xf numFmtId="170" fontId="1" fillId="2" borderId="0" xfId="2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 vertical="center"/>
    </xf>
    <xf numFmtId="172" fontId="1" fillId="2" borderId="0" xfId="2" applyNumberFormat="1" applyFont="1" applyFill="1"/>
    <xf numFmtId="0" fontId="3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171" fontId="1" fillId="2" borderId="0" xfId="1" applyNumberFormat="1" applyFont="1" applyFill="1"/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5ED8-A4B9-45B4-B112-E90BFA9A6349}">
  <sheetPr>
    <tabColor rgb="FF00B050"/>
  </sheetPr>
  <dimension ref="B2:R72"/>
  <sheetViews>
    <sheetView showGridLines="0" tabSelected="1" zoomScale="85" zoomScaleNormal="85" workbookViewId="0">
      <selection activeCell="J22" sqref="J22"/>
    </sheetView>
  </sheetViews>
  <sheetFormatPr defaultColWidth="26.42578125" defaultRowHeight="15.75"/>
  <cols>
    <col min="1" max="1" width="2" style="3" customWidth="1"/>
    <col min="2" max="2" width="25.42578125" style="3" customWidth="1"/>
    <col min="3" max="3" width="25.140625" style="3" bestFit="1" customWidth="1"/>
    <col min="4" max="4" width="26" style="3" bestFit="1" customWidth="1"/>
    <col min="5" max="5" width="26.42578125" style="3" bestFit="1" customWidth="1"/>
    <col min="6" max="6" width="18.140625" style="3" bestFit="1" customWidth="1"/>
    <col min="7" max="7" width="19.140625" style="3" bestFit="1" customWidth="1"/>
    <col min="8" max="8" width="16.28515625" style="3" customWidth="1"/>
    <col min="9" max="9" width="19.28515625" style="3" customWidth="1"/>
    <col min="10" max="10" width="20" style="3" customWidth="1"/>
    <col min="11" max="11" width="19.42578125" style="3" customWidth="1"/>
    <col min="12" max="12" width="21.7109375" style="3" customWidth="1"/>
    <col min="13" max="13" width="16.140625" style="3" bestFit="1" customWidth="1"/>
    <col min="14" max="14" width="18" style="3" bestFit="1" customWidth="1"/>
    <col min="15" max="15" width="14.7109375" style="3" bestFit="1" customWidth="1"/>
    <col min="16" max="16" width="15.28515625" style="3" customWidth="1"/>
    <col min="17" max="17" width="18.42578125" style="3" bestFit="1" customWidth="1"/>
    <col min="18" max="18" width="17.42578125" style="3" bestFit="1" customWidth="1"/>
    <col min="19" max="16384" width="26.42578125" style="3"/>
  </cols>
  <sheetData>
    <row r="2" spans="2:16">
      <c r="B2" s="1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s="6" customFormat="1">
      <c r="B3" s="4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s="6" customFormat="1">
      <c r="B4" s="7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s="6" customFormat="1">
      <c r="B5" s="7" t="s">
        <v>44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s="6" customFormat="1">
      <c r="B6" s="7" t="s">
        <v>45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s="6" customFormat="1">
      <c r="B7" s="8" t="s">
        <v>46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s="6" customFormat="1">
      <c r="B8" s="8" t="s">
        <v>47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>
      <c r="B9" s="9" t="s">
        <v>48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31.5"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1"/>
      <c r="H10" s="12"/>
      <c r="I10" s="12"/>
      <c r="K10" s="13"/>
      <c r="L10" s="14"/>
      <c r="M10" s="15"/>
      <c r="N10" s="16"/>
    </row>
    <row r="11" spans="2:16">
      <c r="B11" s="17" t="s">
        <v>35</v>
      </c>
      <c r="C11" s="18">
        <v>3000000</v>
      </c>
      <c r="D11" s="18"/>
      <c r="E11" s="19">
        <f>SUM(C11:D11)</f>
        <v>3000000</v>
      </c>
      <c r="F11" s="20">
        <f>E11/$E$15</f>
        <v>0.3</v>
      </c>
      <c r="G11" s="21"/>
      <c r="H11" s="22"/>
      <c r="I11" s="23"/>
      <c r="K11" s="24"/>
      <c r="L11" s="25"/>
      <c r="M11" s="26"/>
      <c r="N11" s="27"/>
    </row>
    <row r="12" spans="2:16">
      <c r="B12" s="17" t="s">
        <v>36</v>
      </c>
      <c r="C12" s="18">
        <v>3000000</v>
      </c>
      <c r="D12" s="18"/>
      <c r="E12" s="19">
        <f t="shared" ref="E12:E14" si="0">SUM(C12:D12)</f>
        <v>3000000</v>
      </c>
      <c r="F12" s="20">
        <f>E12/$E$15</f>
        <v>0.3</v>
      </c>
      <c r="G12" s="21"/>
      <c r="H12" s="22"/>
      <c r="I12" s="23"/>
      <c r="K12" s="24"/>
      <c r="L12" s="25"/>
      <c r="M12" s="26"/>
      <c r="N12" s="27"/>
    </row>
    <row r="13" spans="2:16">
      <c r="B13" s="17" t="s">
        <v>37</v>
      </c>
      <c r="C13" s="18">
        <v>3000000</v>
      </c>
      <c r="D13" s="18"/>
      <c r="E13" s="19">
        <f t="shared" si="0"/>
        <v>3000000</v>
      </c>
      <c r="F13" s="20">
        <f>E13/$E$15</f>
        <v>0.3</v>
      </c>
      <c r="G13" s="21"/>
      <c r="H13" s="22"/>
      <c r="I13" s="23"/>
      <c r="K13" s="24"/>
      <c r="L13" s="25"/>
      <c r="M13" s="26"/>
      <c r="N13" s="27"/>
    </row>
    <row r="14" spans="2:16">
      <c r="B14" s="28" t="s">
        <v>42</v>
      </c>
      <c r="C14" s="29"/>
      <c r="D14" s="131">
        <v>1000000</v>
      </c>
      <c r="E14" s="19">
        <f t="shared" si="0"/>
        <v>1000000</v>
      </c>
      <c r="F14" s="20">
        <f>E14/$E$15</f>
        <v>0.1</v>
      </c>
      <c r="G14" s="21"/>
      <c r="H14" s="22"/>
      <c r="I14" s="23"/>
      <c r="K14" s="24"/>
      <c r="L14" s="25"/>
      <c r="M14" s="26"/>
      <c r="N14" s="27"/>
    </row>
    <row r="15" spans="2:16">
      <c r="B15" s="30" t="s">
        <v>5</v>
      </c>
      <c r="C15" s="31"/>
      <c r="D15" s="31"/>
      <c r="E15" s="32">
        <f>SUM(E11:E14)</f>
        <v>10000000</v>
      </c>
      <c r="F15" s="33">
        <f>SUM(F11:F14)</f>
        <v>0.99999999999999989</v>
      </c>
      <c r="G15" s="22"/>
      <c r="H15" s="22"/>
      <c r="I15" s="23"/>
      <c r="K15" s="24"/>
      <c r="L15" s="25"/>
      <c r="M15" s="26"/>
      <c r="N15" s="27"/>
    </row>
    <row r="16" spans="2:16">
      <c r="F16" s="23"/>
      <c r="G16" s="23"/>
      <c r="H16" s="23"/>
      <c r="J16" s="24"/>
      <c r="K16" s="25"/>
      <c r="L16" s="26"/>
      <c r="M16" s="27"/>
    </row>
    <row r="17" spans="2:18" ht="15" customHeight="1">
      <c r="B17" s="34" t="s">
        <v>6</v>
      </c>
      <c r="C17" s="35"/>
      <c r="D17" s="36"/>
      <c r="E17" s="36"/>
      <c r="F17" s="37"/>
      <c r="G17" s="35"/>
      <c r="H17" s="38"/>
      <c r="I17" s="39"/>
      <c r="J17" s="40"/>
      <c r="K17" s="24"/>
      <c r="L17" s="25"/>
      <c r="M17" s="26"/>
      <c r="N17" s="27"/>
    </row>
    <row r="18" spans="2:18">
      <c r="B18" s="41" t="s">
        <v>7</v>
      </c>
      <c r="C18" s="42" t="s">
        <v>8</v>
      </c>
      <c r="D18" s="42" t="s">
        <v>9</v>
      </c>
      <c r="E18" s="43" t="s">
        <v>10</v>
      </c>
      <c r="F18" s="43" t="s">
        <v>11</v>
      </c>
      <c r="G18" s="43" t="s">
        <v>12</v>
      </c>
      <c r="H18" s="43" t="s">
        <v>13</v>
      </c>
      <c r="I18" s="43" t="s">
        <v>14</v>
      </c>
      <c r="J18" s="44" t="s">
        <v>15</v>
      </c>
    </row>
    <row r="19" spans="2:18">
      <c r="B19" s="17" t="s">
        <v>38</v>
      </c>
      <c r="C19" s="45">
        <v>43922</v>
      </c>
      <c r="D19" s="45">
        <v>44681</v>
      </c>
      <c r="E19" s="46">
        <v>50000</v>
      </c>
      <c r="F19" s="47">
        <v>0.06</v>
      </c>
      <c r="G19" s="48">
        <f ca="1">ROUND(E19*(F19*((TODAY()-C19)/365)),2)</f>
        <v>271.23</v>
      </c>
      <c r="H19" s="48">
        <f ca="1">SUM(E19,G19)</f>
        <v>50271.23</v>
      </c>
      <c r="I19" s="49">
        <v>5000000</v>
      </c>
      <c r="J19" s="50">
        <v>0.2</v>
      </c>
    </row>
    <row r="20" spans="2:18">
      <c r="B20" s="17" t="s">
        <v>39</v>
      </c>
      <c r="C20" s="45">
        <v>43922</v>
      </c>
      <c r="D20" s="45">
        <v>44681</v>
      </c>
      <c r="E20" s="46">
        <v>100000</v>
      </c>
      <c r="F20" s="47">
        <v>0.06</v>
      </c>
      <c r="G20" s="48">
        <f t="shared" ref="G20:G21" ca="1" si="1">ROUND(E20*(F20*((TODAY()-C20)/365)),2)</f>
        <v>542.47</v>
      </c>
      <c r="H20" s="48">
        <f t="shared" ref="H20:H21" ca="1" si="2">SUM(E20,G20)</f>
        <v>100542.47</v>
      </c>
      <c r="I20" s="49">
        <v>5000000</v>
      </c>
      <c r="J20" s="50">
        <v>0.2</v>
      </c>
      <c r="O20" s="51"/>
    </row>
    <row r="21" spans="2:18">
      <c r="B21" s="17" t="s">
        <v>40</v>
      </c>
      <c r="C21" s="45">
        <v>43922</v>
      </c>
      <c r="D21" s="45">
        <v>44681</v>
      </c>
      <c r="E21" s="46">
        <v>200000</v>
      </c>
      <c r="F21" s="47">
        <v>0.06</v>
      </c>
      <c r="G21" s="48">
        <f t="shared" ca="1" si="1"/>
        <v>1084.93</v>
      </c>
      <c r="H21" s="48">
        <f t="shared" ca="1" si="2"/>
        <v>201084.93</v>
      </c>
      <c r="I21" s="49">
        <v>5000000</v>
      </c>
      <c r="J21" s="50">
        <v>0.2</v>
      </c>
      <c r="O21" s="51"/>
    </row>
    <row r="22" spans="2:18">
      <c r="B22" s="52" t="s">
        <v>5</v>
      </c>
      <c r="C22" s="53"/>
      <c r="D22" s="53"/>
      <c r="E22" s="54">
        <f>SUM(E19:E21)</f>
        <v>350000</v>
      </c>
      <c r="F22" s="55"/>
      <c r="G22" s="56">
        <f ca="1">SUM(G19:G21)</f>
        <v>1898.63</v>
      </c>
      <c r="H22" s="56">
        <f ca="1">SUM(H19:H21)</f>
        <v>351898.63</v>
      </c>
      <c r="I22" s="55"/>
      <c r="J22" s="57"/>
      <c r="O22" s="51"/>
    </row>
    <row r="23" spans="2:18">
      <c r="B23" s="58"/>
      <c r="C23" s="59"/>
      <c r="D23" s="59"/>
      <c r="E23" s="60"/>
      <c r="F23" s="61"/>
      <c r="G23" s="62"/>
      <c r="H23" s="62"/>
      <c r="I23" s="61"/>
      <c r="J23" s="63"/>
      <c r="K23" s="64"/>
      <c r="L23" s="64"/>
      <c r="M23" s="64"/>
      <c r="N23" s="64"/>
      <c r="O23" s="65"/>
      <c r="P23" s="64"/>
    </row>
    <row r="24" spans="2:18" s="24" customFormat="1">
      <c r="B24" s="66" t="s">
        <v>16</v>
      </c>
      <c r="C24" s="67"/>
      <c r="D24" s="68"/>
      <c r="E24" s="69"/>
      <c r="F24" s="69"/>
      <c r="G24" s="69"/>
      <c r="H24" s="70"/>
      <c r="I24" s="68"/>
      <c r="J24" s="71"/>
      <c r="K24" s="71"/>
      <c r="L24" s="71"/>
      <c r="M24" s="71"/>
      <c r="N24" s="71"/>
      <c r="O24" s="71"/>
      <c r="P24" s="71"/>
    </row>
    <row r="25" spans="2:18" s="24" customFormat="1">
      <c r="B25" s="72" t="s">
        <v>17</v>
      </c>
      <c r="C25" s="73">
        <v>3000000</v>
      </c>
      <c r="D25" s="72" t="s">
        <v>18</v>
      </c>
      <c r="E25" s="73">
        <v>9000000</v>
      </c>
      <c r="F25" s="64"/>
      <c r="G25" s="74"/>
      <c r="H25" s="74"/>
      <c r="I25" s="75" t="s">
        <v>19</v>
      </c>
      <c r="J25" s="76"/>
      <c r="K25" s="76"/>
      <c r="L25" s="77"/>
      <c r="M25" s="77"/>
      <c r="N25" s="77"/>
      <c r="O25" s="77"/>
      <c r="P25" s="77"/>
      <c r="Q25" s="78"/>
      <c r="R25" s="78"/>
    </row>
    <row r="26" spans="2:18" s="24" customFormat="1" ht="15" customHeight="1">
      <c r="B26" s="79"/>
      <c r="C26" s="80"/>
      <c r="D26" s="81" t="s">
        <v>20</v>
      </c>
      <c r="E26" s="82">
        <v>0.1</v>
      </c>
      <c r="F26" s="3"/>
      <c r="G26" s="79"/>
      <c r="H26" s="83"/>
      <c r="J26" s="84" t="s">
        <v>21</v>
      </c>
      <c r="K26" s="85">
        <v>44197</v>
      </c>
      <c r="N26" s="36"/>
      <c r="O26" s="37"/>
      <c r="P26" s="35"/>
      <c r="R26" s="86"/>
    </row>
    <row r="27" spans="2:18" s="24" customFormat="1">
      <c r="B27" s="78"/>
      <c r="C27" s="84"/>
      <c r="D27" s="87"/>
      <c r="E27" s="84"/>
      <c r="F27" s="88"/>
      <c r="G27" s="88"/>
      <c r="H27" s="88"/>
      <c r="J27" s="89" t="s">
        <v>22</v>
      </c>
      <c r="K27" s="90">
        <f ca="1">SUM(F29:F32)</f>
        <v>10502823</v>
      </c>
      <c r="M27" s="91"/>
      <c r="N27" s="36"/>
      <c r="O27" s="37"/>
      <c r="P27" s="35"/>
      <c r="R27" s="86"/>
    </row>
    <row r="28" spans="2:18" s="24" customFormat="1" ht="31.5">
      <c r="B28" s="92" t="str">
        <f t="shared" ref="B28:D31" si="3">B10</f>
        <v>Name</v>
      </c>
      <c r="C28" s="41" t="str">
        <f t="shared" si="3"/>
        <v>Common &amp; Restricted</v>
      </c>
      <c r="D28" s="41" t="str">
        <f t="shared" si="3"/>
        <v>Common Options &amp; Warrants</v>
      </c>
      <c r="E28" s="41" t="s">
        <v>23</v>
      </c>
      <c r="F28" s="41" t="str">
        <f>E10</f>
        <v>Fully-Diluted Shares</v>
      </c>
      <c r="G28" s="41" t="str">
        <f>F10</f>
        <v>Fully-Diluted Ownership</v>
      </c>
      <c r="I28" s="41" t="str">
        <f t="shared" ref="I28:J31" si="4">B18</f>
        <v>Investor</v>
      </c>
      <c r="J28" s="42" t="str">
        <f t="shared" si="4"/>
        <v>Note Date</v>
      </c>
      <c r="K28" s="43" t="str">
        <f t="shared" ref="K28:L31" si="5">E18</f>
        <v>Principal Balance</v>
      </c>
      <c r="L28" s="43" t="str">
        <f t="shared" si="5"/>
        <v>Interest Rate</v>
      </c>
      <c r="M28" s="93" t="s">
        <v>12</v>
      </c>
      <c r="N28" s="41" t="s">
        <v>24</v>
      </c>
      <c r="O28" s="41" t="s">
        <v>25</v>
      </c>
      <c r="P28" s="41" t="s">
        <v>26</v>
      </c>
    </row>
    <row r="29" spans="2:18" s="24" customFormat="1">
      <c r="B29" s="24" t="str">
        <f t="shared" si="3"/>
        <v>Founder A</v>
      </c>
      <c r="C29" s="94">
        <f t="shared" si="3"/>
        <v>3000000</v>
      </c>
      <c r="D29" s="94">
        <f t="shared" si="3"/>
        <v>0</v>
      </c>
      <c r="E29" s="18"/>
      <c r="F29" s="94">
        <f>SUM(C29:E29)</f>
        <v>3000000</v>
      </c>
      <c r="G29" s="95">
        <f ca="1">F29/$F$37</f>
        <v>0.19962421407115152</v>
      </c>
      <c r="H29" s="96"/>
      <c r="I29" s="24" t="str">
        <f t="shared" si="4"/>
        <v>Noteholder 1</v>
      </c>
      <c r="J29" s="45">
        <f t="shared" si="4"/>
        <v>43922</v>
      </c>
      <c r="K29" s="97">
        <f t="shared" si="5"/>
        <v>50000</v>
      </c>
      <c r="L29" s="98">
        <f t="shared" si="5"/>
        <v>0.06</v>
      </c>
      <c r="M29" s="48">
        <f>K29*(L29*(($K$26-J29)/365))</f>
        <v>2260.2739726027398</v>
      </c>
      <c r="N29" s="99">
        <f>SUM(M29+K29)</f>
        <v>52260.273972602743</v>
      </c>
      <c r="O29" s="100">
        <f ca="1">ROUND(MIN($K$37*(1-J19),I19/$K$27),4)</f>
        <v>0.47610000000000002</v>
      </c>
      <c r="P29" s="101">
        <f ca="1">ROUNDDOWN(N29/O29,0)</f>
        <v>109767</v>
      </c>
    </row>
    <row r="30" spans="2:18" s="24" customFormat="1">
      <c r="B30" s="24" t="str">
        <f t="shared" si="3"/>
        <v>Founder B</v>
      </c>
      <c r="C30" s="94">
        <f t="shared" si="3"/>
        <v>3000000</v>
      </c>
      <c r="D30" s="94">
        <f t="shared" si="3"/>
        <v>0</v>
      </c>
      <c r="E30" s="18"/>
      <c r="F30" s="94">
        <f t="shared" ref="F30:F33" si="6">SUM(C30:E30)</f>
        <v>3000000</v>
      </c>
      <c r="G30" s="95">
        <f ca="1">F30/$F$37</f>
        <v>0.19962421407115152</v>
      </c>
      <c r="I30" s="24" t="str">
        <f t="shared" si="4"/>
        <v>Noteholder 2</v>
      </c>
      <c r="J30" s="45">
        <f t="shared" si="4"/>
        <v>43922</v>
      </c>
      <c r="K30" s="97">
        <f t="shared" si="5"/>
        <v>100000</v>
      </c>
      <c r="L30" s="98">
        <f t="shared" si="5"/>
        <v>0.06</v>
      </c>
      <c r="M30" s="48">
        <f>K30*(L30*(($K$26-J30)/365))</f>
        <v>4520.5479452054797</v>
      </c>
      <c r="N30" s="99">
        <f t="shared" ref="N30:N31" si="7">SUM(M30+K30)</f>
        <v>104520.54794520549</v>
      </c>
      <c r="O30" s="100">
        <f ca="1">ROUND(MIN($K$37*(1-J20),I20/$K$27),4)</f>
        <v>0.47610000000000002</v>
      </c>
      <c r="P30" s="101">
        <f t="shared" ref="P30:P31" ca="1" si="8">ROUNDDOWN(N30/O30,0)</f>
        <v>219534</v>
      </c>
    </row>
    <row r="31" spans="2:18" s="24" customFormat="1">
      <c r="B31" s="24" t="str">
        <f t="shared" si="3"/>
        <v>Founder C</v>
      </c>
      <c r="C31" s="94">
        <f t="shared" si="3"/>
        <v>3000000</v>
      </c>
      <c r="D31" s="94">
        <f t="shared" si="3"/>
        <v>0</v>
      </c>
      <c r="E31" s="18"/>
      <c r="F31" s="94">
        <f t="shared" si="6"/>
        <v>3000000</v>
      </c>
      <c r="G31" s="95">
        <f ca="1">F31/$F$37</f>
        <v>0.19962421407115152</v>
      </c>
      <c r="I31" s="24" t="str">
        <f t="shared" si="4"/>
        <v>Noteholder 3</v>
      </c>
      <c r="J31" s="45">
        <f t="shared" si="4"/>
        <v>43922</v>
      </c>
      <c r="K31" s="97">
        <f t="shared" si="5"/>
        <v>200000</v>
      </c>
      <c r="L31" s="98">
        <f t="shared" si="5"/>
        <v>0.06</v>
      </c>
      <c r="M31" s="48">
        <f>K31*(L31*(($K$26-J31)/365))</f>
        <v>9041.0958904109593</v>
      </c>
      <c r="N31" s="99">
        <f t="shared" si="7"/>
        <v>209041.09589041097</v>
      </c>
      <c r="O31" s="100">
        <f ca="1">ROUND(MIN($K$37*(1-J21),I21/$K$27),4)</f>
        <v>0.47610000000000002</v>
      </c>
      <c r="P31" s="101">
        <f t="shared" ca="1" si="8"/>
        <v>439069</v>
      </c>
    </row>
    <row r="32" spans="2:18" s="24" customFormat="1">
      <c r="B32" s="24" t="s">
        <v>42</v>
      </c>
      <c r="C32" s="94"/>
      <c r="D32" s="94">
        <f ca="1">IFERROR(ROUNDDOWN(E26*F37,0),0)</f>
        <v>1502823</v>
      </c>
      <c r="E32" s="18"/>
      <c r="F32" s="94">
        <f t="shared" ca="1" si="6"/>
        <v>1502823</v>
      </c>
      <c r="G32" s="95">
        <f ca="1">F32/$F$37</f>
        <v>9.999995342101671E-2</v>
      </c>
      <c r="I32" s="102"/>
      <c r="J32" s="102"/>
      <c r="K32" s="103">
        <f>SUM(K29:K31)</f>
        <v>350000</v>
      </c>
      <c r="L32" s="104"/>
      <c r="M32" s="105">
        <f>SUM(M29:M31)</f>
        <v>15821.917808219179</v>
      </c>
      <c r="N32" s="105">
        <f>SUM(N29:N31)</f>
        <v>365821.91780821921</v>
      </c>
      <c r="O32" s="104"/>
      <c r="P32" s="106">
        <f ca="1">SUM(P29:P31)</f>
        <v>768370</v>
      </c>
    </row>
    <row r="33" spans="2:16" s="24" customFormat="1">
      <c r="B33" s="24" t="s">
        <v>27</v>
      </c>
      <c r="C33" s="94"/>
      <c r="D33" s="94"/>
      <c r="E33" s="94">
        <f ca="1">IFERROR(P32,0)</f>
        <v>768370</v>
      </c>
      <c r="F33" s="94">
        <f t="shared" ca="1" si="6"/>
        <v>768370</v>
      </c>
      <c r="G33" s="95">
        <f ca="1">F33/$F$37</f>
        <v>5.1128419121950236E-2</v>
      </c>
      <c r="I33" s="107"/>
      <c r="J33" s="107"/>
      <c r="K33" s="108"/>
      <c r="M33" s="109"/>
      <c r="N33" s="109"/>
    </row>
    <row r="34" spans="2:16" s="24" customFormat="1">
      <c r="C34" s="27"/>
      <c r="D34" s="27"/>
      <c r="E34" s="35" t="s">
        <v>28</v>
      </c>
      <c r="F34" s="110">
        <f ca="1">SUM(F29:F33)</f>
        <v>11271193</v>
      </c>
      <c r="G34" s="111">
        <f ca="1">SUM(G29:G33)</f>
        <v>0.75000101475642156</v>
      </c>
      <c r="M34" s="109"/>
      <c r="N34" s="109"/>
    </row>
    <row r="35" spans="2:16" s="24" customFormat="1">
      <c r="C35" s="27"/>
      <c r="D35" s="27"/>
      <c r="E35" s="18"/>
      <c r="F35" s="27"/>
      <c r="G35" s="27"/>
      <c r="I35" s="24" t="s">
        <v>29</v>
      </c>
      <c r="J35" s="107"/>
      <c r="K35" s="107"/>
      <c r="L35" s="107"/>
      <c r="N35" s="112"/>
    </row>
    <row r="36" spans="2:16" s="24" customFormat="1">
      <c r="B36" s="113" t="s">
        <v>33</v>
      </c>
      <c r="C36" s="94"/>
      <c r="D36" s="94"/>
      <c r="E36" s="94">
        <f ca="1">L37</f>
        <v>3757044</v>
      </c>
      <c r="F36" s="94">
        <f ca="1">E36</f>
        <v>3757044</v>
      </c>
      <c r="G36" s="95">
        <f ca="1">F36/$F$37</f>
        <v>0.24999898524357847</v>
      </c>
      <c r="I36" s="114" t="s">
        <v>30</v>
      </c>
      <c r="J36" s="114" t="s">
        <v>31</v>
      </c>
      <c r="K36" s="114" t="s">
        <v>32</v>
      </c>
      <c r="L36" s="114" t="s">
        <v>33</v>
      </c>
      <c r="N36" s="115"/>
    </row>
    <row r="37" spans="2:16" s="24" customFormat="1">
      <c r="B37" s="35" t="s">
        <v>34</v>
      </c>
      <c r="C37" s="55">
        <f>SUM(C29:C36)</f>
        <v>9000000</v>
      </c>
      <c r="D37" s="55">
        <f ca="1">SUM(D29:D36)</f>
        <v>1502823</v>
      </c>
      <c r="E37" s="55">
        <f ca="1">SUM(E29:E36)</f>
        <v>4525414</v>
      </c>
      <c r="F37" s="55">
        <f ca="1">SUM(F34:F36)</f>
        <v>15028237</v>
      </c>
      <c r="G37" s="116">
        <f ca="1">SUM(G34:G36)</f>
        <v>1</v>
      </c>
      <c r="H37" s="96"/>
      <c r="I37" s="97">
        <f>C25</f>
        <v>3000000</v>
      </c>
      <c r="J37" s="97">
        <f>E25</f>
        <v>9000000</v>
      </c>
      <c r="K37" s="117">
        <f ca="1">IFERROR(ROUND(J37/F34,4),1)</f>
        <v>0.79849999999999999</v>
      </c>
      <c r="L37" s="101">
        <f ca="1">ROUNDDOWN(I37/K37,0)</f>
        <v>3757044</v>
      </c>
      <c r="N37" s="118"/>
    </row>
    <row r="38" spans="2:16">
      <c r="B38" s="119"/>
      <c r="C38" s="64"/>
      <c r="D38" s="120"/>
      <c r="E38" s="120"/>
      <c r="F38" s="120"/>
      <c r="G38" s="121"/>
      <c r="H38" s="119"/>
      <c r="I38" s="122"/>
      <c r="J38" s="122"/>
      <c r="K38" s="123"/>
      <c r="L38" s="124"/>
      <c r="N38" s="125"/>
    </row>
    <row r="39" spans="2:16">
      <c r="C39" s="64"/>
      <c r="D39" s="126"/>
      <c r="E39" s="127"/>
      <c r="F39" s="64"/>
      <c r="G39" s="64"/>
      <c r="M39" s="23"/>
      <c r="P39" s="128"/>
    </row>
    <row r="40" spans="2:16">
      <c r="B40" s="119" t="s">
        <v>50</v>
      </c>
      <c r="C40" s="64"/>
      <c r="D40" s="129"/>
      <c r="E40" s="130"/>
      <c r="F40" s="64"/>
      <c r="G40" s="64"/>
    </row>
    <row r="41" spans="2:16">
      <c r="C41" s="64"/>
      <c r="D41" s="64"/>
      <c r="E41" s="64"/>
      <c r="F41" s="64"/>
      <c r="G41" s="64"/>
    </row>
    <row r="42" spans="2:16">
      <c r="C42" s="64"/>
      <c r="D42" s="64"/>
      <c r="E42" s="64"/>
      <c r="F42" s="64"/>
      <c r="G42" s="64"/>
    </row>
    <row r="43" spans="2:16">
      <c r="C43" s="64"/>
      <c r="D43" s="64"/>
      <c r="E43" s="64"/>
      <c r="F43" s="64"/>
      <c r="G43" s="64"/>
    </row>
    <row r="72" ht="14.45" customHeight="1"/>
  </sheetData>
  <conditionalFormatting sqref="D32">
    <cfRule type="cellIs" dxfId="1" priority="2" operator="equal">
      <formula>0</formula>
    </cfRule>
  </conditionalFormatting>
  <conditionalFormatting sqref="K37">
    <cfRule type="cellIs" dxfId="0" priority="1" operator="equal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Cap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Vela</dc:creator>
  <cp:lastModifiedBy>Kevin Vela</cp:lastModifiedBy>
  <dcterms:created xsi:type="dcterms:W3CDTF">2020-04-29T11:47:28Z</dcterms:created>
  <dcterms:modified xsi:type="dcterms:W3CDTF">2020-05-04T13:56:17Z</dcterms:modified>
</cp:coreProperties>
</file>